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515" windowHeight="12345"/>
  </bookViews>
  <sheets>
    <sheet name="Compte de résultat" sheetId="1" r:id="rId1"/>
    <sheet name="Bilan" sheetId="2" r:id="rId2"/>
  </sheets>
  <definedNames>
    <definedName name="_xlnm.Print_Area" localSheetId="0">'Compte de résultat'!$A$1:$J$37</definedName>
  </definedNames>
  <calcPr calcId="145621"/>
</workbook>
</file>

<file path=xl/calcChain.xml><?xml version="1.0" encoding="utf-8"?>
<calcChain xmlns="http://schemas.openxmlformats.org/spreadsheetml/2006/main">
  <c r="E24" i="1" l="1"/>
  <c r="E30" i="1" s="1"/>
  <c r="E35" i="1" s="1"/>
  <c r="E28" i="1"/>
  <c r="B35" i="1"/>
  <c r="D35" i="1"/>
  <c r="C35" i="1"/>
  <c r="B30" i="1"/>
  <c r="C30" i="1"/>
  <c r="B28" i="1"/>
  <c r="C28" i="1"/>
  <c r="B24" i="1"/>
  <c r="C24" i="1"/>
  <c r="G35" i="1"/>
  <c r="H35" i="1"/>
  <c r="I35" i="1"/>
  <c r="D30" i="1"/>
  <c r="D28" i="1"/>
  <c r="D7" i="1"/>
  <c r="D21" i="1"/>
  <c r="D26" i="1"/>
  <c r="C26" i="1"/>
  <c r="C25" i="1"/>
  <c r="C21" i="1"/>
  <c r="D20" i="1"/>
  <c r="C20" i="1"/>
  <c r="C19" i="1"/>
  <c r="D9" i="1"/>
  <c r="B37" i="1" l="1"/>
  <c r="H21" i="2"/>
  <c r="K7" i="2"/>
  <c r="K29" i="2"/>
  <c r="H29" i="2"/>
  <c r="P31" i="2"/>
  <c r="Q31" i="2"/>
  <c r="Q16" i="2"/>
  <c r="R16" i="2"/>
  <c r="P16" i="2"/>
  <c r="K8" i="2"/>
  <c r="F8" i="2"/>
  <c r="E8" i="2"/>
  <c r="C8" i="2"/>
  <c r="C7" i="1"/>
  <c r="C6" i="1"/>
  <c r="G29" i="1"/>
  <c r="H29" i="1"/>
  <c r="I29" i="1"/>
  <c r="H27" i="1"/>
  <c r="I27" i="1"/>
  <c r="J27" i="1"/>
  <c r="G27" i="1"/>
  <c r="I7" i="1"/>
  <c r="P27" i="2" l="1"/>
  <c r="E12" i="2" l="1"/>
  <c r="E13" i="2"/>
  <c r="E11" i="2"/>
  <c r="E9" i="2"/>
  <c r="E10" i="2" s="1"/>
  <c r="P13" i="2"/>
  <c r="E29" i="2"/>
  <c r="E27" i="2"/>
  <c r="E22" i="2"/>
  <c r="E17" i="2"/>
  <c r="D14" i="2"/>
  <c r="C14" i="2"/>
  <c r="D10" i="2"/>
  <c r="C10" i="2"/>
  <c r="B9" i="1"/>
  <c r="B4" i="1"/>
  <c r="G7" i="1"/>
  <c r="G33" i="1"/>
  <c r="B33" i="1"/>
  <c r="B26" i="1"/>
  <c r="B22" i="1"/>
  <c r="B21" i="1"/>
  <c r="B20" i="1"/>
  <c r="B19" i="1"/>
  <c r="B7" i="1"/>
  <c r="B6" i="1"/>
  <c r="G22" i="1"/>
  <c r="G17" i="1"/>
  <c r="G8" i="1"/>
  <c r="N29" i="2"/>
  <c r="S27" i="2"/>
  <c r="R27" i="2"/>
  <c r="R31" i="2" s="1"/>
  <c r="Q27" i="2"/>
  <c r="N27" i="2"/>
  <c r="K27" i="2"/>
  <c r="H27" i="2"/>
  <c r="N22" i="2"/>
  <c r="K22" i="2"/>
  <c r="H22" i="2"/>
  <c r="N17" i="2"/>
  <c r="K17" i="2"/>
  <c r="H17" i="2"/>
  <c r="S15" i="2"/>
  <c r="R13" i="2"/>
  <c r="Q13" i="2"/>
  <c r="M14" i="2"/>
  <c r="L14" i="2"/>
  <c r="J14" i="2"/>
  <c r="I14" i="2"/>
  <c r="G14" i="2"/>
  <c r="F14" i="2"/>
  <c r="N13" i="2"/>
  <c r="K13" i="2"/>
  <c r="H13" i="2"/>
  <c r="N12" i="2"/>
  <c r="N14" i="2" s="1"/>
  <c r="K12" i="2"/>
  <c r="H12" i="2"/>
  <c r="N11" i="2"/>
  <c r="K11" i="2"/>
  <c r="H11" i="2"/>
  <c r="M10" i="2"/>
  <c r="M31" i="2" s="1"/>
  <c r="L10" i="2"/>
  <c r="L31" i="2" s="1"/>
  <c r="J10" i="2"/>
  <c r="I10" i="2"/>
  <c r="G10" i="2"/>
  <c r="F10" i="2"/>
  <c r="N9" i="2"/>
  <c r="N10" i="2" s="1"/>
  <c r="N31" i="2" s="1"/>
  <c r="K9" i="2"/>
  <c r="K10" i="2" s="1"/>
  <c r="H9" i="2"/>
  <c r="H8" i="2"/>
  <c r="H7" i="2"/>
  <c r="H17" i="1"/>
  <c r="H22" i="1"/>
  <c r="H8" i="1"/>
  <c r="J8" i="1"/>
  <c r="I8" i="1"/>
  <c r="J22" i="1"/>
  <c r="I22" i="1"/>
  <c r="J17" i="1"/>
  <c r="I17" i="1"/>
  <c r="J29" i="1" l="1"/>
  <c r="J35" i="1" s="1"/>
  <c r="E37" i="1" s="1"/>
  <c r="H14" i="2"/>
  <c r="J31" i="2"/>
  <c r="I31" i="2"/>
  <c r="F31" i="2"/>
  <c r="C37" i="1"/>
  <c r="D31" i="2"/>
  <c r="E14" i="2"/>
  <c r="E31" i="2"/>
  <c r="C31" i="2"/>
  <c r="H10" i="2"/>
  <c r="G31" i="2"/>
  <c r="S31" i="2"/>
  <c r="K14" i="2"/>
  <c r="K31" i="2" s="1"/>
  <c r="D24" i="1"/>
  <c r="D37" i="1" l="1"/>
  <c r="H31" i="2"/>
  <c r="U31" i="2" s="1"/>
</calcChain>
</file>

<file path=xl/sharedStrings.xml><?xml version="1.0" encoding="utf-8"?>
<sst xmlns="http://schemas.openxmlformats.org/spreadsheetml/2006/main" count="108" uniqueCount="98">
  <si>
    <t>Adhésions</t>
  </si>
  <si>
    <t>Locations oeuvres</t>
  </si>
  <si>
    <t>Conseil régional</t>
  </si>
  <si>
    <t>Conseil général 64</t>
  </si>
  <si>
    <t>Communauté de commune de Nay</t>
  </si>
  <si>
    <t>Commune de Nay</t>
  </si>
  <si>
    <t>Autres subventions</t>
  </si>
  <si>
    <t>Dons divers</t>
  </si>
  <si>
    <t>Produits financiers (livret A)</t>
  </si>
  <si>
    <t>Produits exceptionnels</t>
  </si>
  <si>
    <t>Eau électricité</t>
  </si>
  <si>
    <t>Assurance</t>
  </si>
  <si>
    <t>Documentation</t>
  </si>
  <si>
    <t>Commission/ventes</t>
  </si>
  <si>
    <t>Services bancaires</t>
  </si>
  <si>
    <t>Amortissements</t>
  </si>
  <si>
    <t>Produits (Recettes)</t>
  </si>
  <si>
    <t>Charges (Dépenses)</t>
  </si>
  <si>
    <t>Autres activités (dont médiations)</t>
  </si>
  <si>
    <t>Production immobilisée</t>
  </si>
  <si>
    <t>Subventions :</t>
  </si>
  <si>
    <t>Total chiffre d'affaires</t>
  </si>
  <si>
    <t>Total subventions</t>
  </si>
  <si>
    <t>Total aides et dons</t>
  </si>
  <si>
    <t>Achat marchandises</t>
  </si>
  <si>
    <t>Vataion de stock</t>
  </si>
  <si>
    <t>Founitures entretien et petit équipement</t>
  </si>
  <si>
    <t>Fournitures administratives</t>
  </si>
  <si>
    <t>Achats Animations</t>
  </si>
  <si>
    <t>Com. sur location artothèque</t>
  </si>
  <si>
    <t>Location matériel</t>
  </si>
  <si>
    <t>Autres prestations de service</t>
  </si>
  <si>
    <t>Entretien Biens immobiliers mobiliers</t>
  </si>
  <si>
    <t>Honoraires expert comptable</t>
  </si>
  <si>
    <t>Publicité communication</t>
  </si>
  <si>
    <t>Frais de déplacement, réception</t>
  </si>
  <si>
    <t>Salaires et cotisations sociales</t>
  </si>
  <si>
    <t>Charges exceptionnelles</t>
  </si>
  <si>
    <t>Total charges d'exploitation</t>
  </si>
  <si>
    <t>Charges financières</t>
  </si>
  <si>
    <t>Total achats et charges externes</t>
  </si>
  <si>
    <t>Total Produits</t>
  </si>
  <si>
    <t>Total charges</t>
  </si>
  <si>
    <t>Total  produits d'exploitation</t>
  </si>
  <si>
    <t>Aide à l'emploi</t>
  </si>
  <si>
    <t>Ventes (œuvres, livres, cartes...)</t>
  </si>
  <si>
    <t>Stocks et encours</t>
  </si>
  <si>
    <t>charges constatées d'avance</t>
  </si>
  <si>
    <t>Banque CIC</t>
  </si>
  <si>
    <t>Livret A</t>
  </si>
  <si>
    <t>Caisse</t>
  </si>
  <si>
    <t>Fonds associatifs</t>
  </si>
  <si>
    <t>Autres réserves</t>
  </si>
  <si>
    <t>Résultat de l'exercice</t>
  </si>
  <si>
    <t>Dettes fournisseurs</t>
  </si>
  <si>
    <t>Dettes fiscales et sociales</t>
  </si>
  <si>
    <t>Autres dettes</t>
  </si>
  <si>
    <t>Produits constatés d'avance</t>
  </si>
  <si>
    <t>Report à nouveau créditeur</t>
  </si>
  <si>
    <t>Fonds sur dons manuels</t>
  </si>
  <si>
    <t>Total Fonds propres</t>
  </si>
  <si>
    <t>Adhésions payées d'avance</t>
  </si>
  <si>
    <t>Total dettes et PCA</t>
  </si>
  <si>
    <t>TOTAL PASSIF</t>
  </si>
  <si>
    <t>Logiciels</t>
  </si>
  <si>
    <t>Investissement de création</t>
  </si>
  <si>
    <t>Aménagements divers</t>
  </si>
  <si>
    <t>Matériel de bureau et info</t>
  </si>
  <si>
    <t>Mobilier</t>
  </si>
  <si>
    <t>Total immobilisations corporelles</t>
  </si>
  <si>
    <t>Subvention à recevoir région</t>
  </si>
  <si>
    <t>Subvention à recevoir département</t>
  </si>
  <si>
    <t>Total créances</t>
  </si>
  <si>
    <t>Total disponibilités</t>
  </si>
  <si>
    <t>TOTAL ACTIF</t>
  </si>
  <si>
    <t>Brut</t>
  </si>
  <si>
    <t>Amort</t>
  </si>
  <si>
    <t>Net</t>
  </si>
  <si>
    <t>Convention d'occupation des locaux</t>
  </si>
  <si>
    <t>Total immobilisations incorporelles</t>
  </si>
  <si>
    <t>Total stocks</t>
  </si>
  <si>
    <t>Total Charges constatées d'avance</t>
  </si>
  <si>
    <t>Subvention à recevoir Com Com Nay</t>
  </si>
  <si>
    <t>Frais transport artistes et œuvres</t>
  </si>
  <si>
    <t>Impôts et taxes (dont form prof)</t>
  </si>
  <si>
    <t>Compte de résultat 2018</t>
  </si>
  <si>
    <t>Bilan 2018</t>
  </si>
  <si>
    <t>Prév 2019</t>
  </si>
  <si>
    <t>Autres produits</t>
  </si>
  <si>
    <t>Total produit divers</t>
  </si>
  <si>
    <t>Site internet</t>
  </si>
  <si>
    <t>Total fonds dédiés</t>
  </si>
  <si>
    <t>Produits à recevoir ( dont part. Kdo artistes)</t>
  </si>
  <si>
    <t>Reprise des fonds dédiés</t>
  </si>
  <si>
    <t>Engagements à réaliser sur dons</t>
  </si>
  <si>
    <t>Frais télécommunication et postaux</t>
  </si>
  <si>
    <t>Total impôts, salaires et amort.</t>
  </si>
  <si>
    <t>Bénéfice ou perte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</si>
</sst>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  <numFmt numFmtId="165" formatCode="_-* #,##0\ [$€-40C]_-;\-* #,##0\ [$€-40C]_-;_-* &quot;-&quot;??\ [$€-40C]_-;_-@_-"/>
    <numFmt numFmtId="166" formatCode="0_ ;\-0\ "/>
    <numFmt numFmtId="167" formatCode="_-* #,##0\ &quot;€&quot;_-;\-* #,##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164" fontId="0" fillId="0" borderId="0" xfId="0" applyNumberFormat="1"/>
    <xf numFmtId="0" fontId="0" fillId="0" borderId="2" xfId="0" applyBorder="1"/>
    <xf numFmtId="0" fontId="0" fillId="0" borderId="0" xfId="0" applyBorder="1"/>
    <xf numFmtId="165" fontId="0" fillId="0" borderId="3" xfId="0" applyNumberFormat="1" applyBorder="1"/>
    <xf numFmtId="0" fontId="2" fillId="0" borderId="0" xfId="0" applyFont="1" applyBorder="1" applyAlignment="1">
      <alignment horizontal="right"/>
    </xf>
    <xf numFmtId="165" fontId="2" fillId="0" borderId="3" xfId="1" applyNumberFormat="1" applyFont="1" applyBorder="1"/>
    <xf numFmtId="0" fontId="0" fillId="0" borderId="0" xfId="0" applyBorder="1" applyAlignment="1">
      <alignment horizontal="right"/>
    </xf>
    <xf numFmtId="165" fontId="0" fillId="0" borderId="3" xfId="1" applyNumberFormat="1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0" fontId="0" fillId="0" borderId="2" xfId="0" applyFont="1" applyBorder="1" applyAlignment="1">
      <alignment horizontal="left"/>
    </xf>
    <xf numFmtId="165" fontId="0" fillId="0" borderId="10" xfId="0" applyNumberFormat="1" applyBorder="1"/>
    <xf numFmtId="0" fontId="0" fillId="0" borderId="10" xfId="0" applyBorder="1"/>
    <xf numFmtId="165" fontId="0" fillId="0" borderId="10" xfId="1" applyNumberFormat="1" applyFont="1" applyBorder="1"/>
    <xf numFmtId="165" fontId="2" fillId="0" borderId="10" xfId="1" applyNumberFormat="1" applyFont="1" applyBorder="1"/>
    <xf numFmtId="0" fontId="0" fillId="2" borderId="7" xfId="0" applyFill="1" applyBorder="1"/>
    <xf numFmtId="0" fontId="3" fillId="2" borderId="1" xfId="0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166" fontId="3" fillId="2" borderId="9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11" xfId="0" applyBorder="1"/>
    <xf numFmtId="165" fontId="0" fillId="0" borderId="2" xfId="0" applyNumberFormat="1" applyBorder="1"/>
    <xf numFmtId="167" fontId="0" fillId="0" borderId="3" xfId="1" applyNumberFormat="1" applyFont="1" applyBorder="1"/>
    <xf numFmtId="0" fontId="3" fillId="0" borderId="10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67" fontId="0" fillId="0" borderId="10" xfId="1" applyNumberFormat="1" applyFont="1" applyBorder="1"/>
    <xf numFmtId="165" fontId="0" fillId="0" borderId="0" xfId="0" applyNumberFormat="1" applyBorder="1"/>
    <xf numFmtId="0" fontId="3" fillId="2" borderId="0" xfId="0" applyFont="1" applyFill="1" applyBorder="1" applyAlignment="1">
      <alignment horizontal="right"/>
    </xf>
    <xf numFmtId="165" fontId="3" fillId="2" borderId="10" xfId="1" applyNumberFormat="1" applyFont="1" applyFill="1" applyBorder="1"/>
    <xf numFmtId="165" fontId="3" fillId="2" borderId="3" xfId="1" applyNumberFormat="1" applyFont="1" applyFill="1" applyBorder="1"/>
    <xf numFmtId="0" fontId="3" fillId="2" borderId="2" xfId="0" applyFont="1" applyFill="1" applyBorder="1" applyAlignment="1">
      <alignment horizontal="right"/>
    </xf>
    <xf numFmtId="165" fontId="3" fillId="2" borderId="10" xfId="0" applyNumberFormat="1" applyFont="1" applyFill="1" applyBorder="1"/>
    <xf numFmtId="165" fontId="3" fillId="2" borderId="3" xfId="0" applyNumberFormat="1" applyFont="1" applyFill="1" applyBorder="1"/>
    <xf numFmtId="0" fontId="3" fillId="2" borderId="10" xfId="0" applyFont="1" applyFill="1" applyBorder="1" applyAlignment="1">
      <alignment horizontal="right"/>
    </xf>
    <xf numFmtId="165" fontId="3" fillId="2" borderId="2" xfId="0" applyNumberFormat="1" applyFont="1" applyFill="1" applyBorder="1"/>
    <xf numFmtId="165" fontId="3" fillId="2" borderId="0" xfId="0" applyNumberFormat="1" applyFont="1" applyFill="1" applyBorder="1"/>
    <xf numFmtId="167" fontId="3" fillId="2" borderId="10" xfId="1" applyNumberFormat="1" applyFont="1" applyFill="1" applyBorder="1"/>
    <xf numFmtId="167" fontId="3" fillId="2" borderId="3" xfId="1" applyNumberFormat="1" applyFont="1" applyFill="1" applyBorder="1"/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2" borderId="11" xfId="0" applyFill="1" applyBorder="1"/>
    <xf numFmtId="0" fontId="2" fillId="0" borderId="0" xfId="0" applyFont="1" applyBorder="1"/>
    <xf numFmtId="165" fontId="0" fillId="0" borderId="0" xfId="0" applyNumberFormat="1"/>
    <xf numFmtId="165" fontId="0" fillId="0" borderId="11" xfId="0" applyNumberFormat="1" applyBorder="1"/>
    <xf numFmtId="165" fontId="3" fillId="2" borderId="3" xfId="0" applyNumberFormat="1" applyFont="1" applyFill="1" applyBorder="1" applyAlignment="1">
      <alignment horizontal="right"/>
    </xf>
    <xf numFmtId="165" fontId="0" fillId="0" borderId="4" xfId="0" applyNumberFormat="1" applyBorder="1"/>
    <xf numFmtId="167" fontId="0" fillId="0" borderId="0" xfId="0" applyNumberFormat="1"/>
    <xf numFmtId="167" fontId="0" fillId="0" borderId="2" xfId="1" applyNumberFormat="1" applyFont="1" applyBorder="1"/>
    <xf numFmtId="0" fontId="3" fillId="2" borderId="1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6" fillId="0" borderId="0" xfId="0" applyFont="1" applyBorder="1" applyAlignment="1"/>
    <xf numFmtId="0" fontId="0" fillId="0" borderId="0" xfId="0" applyFill="1" applyBorder="1"/>
    <xf numFmtId="164" fontId="0" fillId="0" borderId="10" xfId="0" applyNumberForma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5" fontId="3" fillId="2" borderId="10" xfId="0" applyNumberFormat="1" applyFont="1" applyFill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3" fillId="2" borderId="7" xfId="0" applyFont="1" applyFill="1" applyBorder="1" applyAlignment="1">
      <alignment horizontal="right"/>
    </xf>
    <xf numFmtId="165" fontId="3" fillId="2" borderId="1" xfId="0" applyNumberFormat="1" applyFont="1" applyFill="1" applyBorder="1"/>
    <xf numFmtId="165" fontId="3" fillId="2" borderId="7" xfId="0" applyNumberFormat="1" applyFont="1" applyFill="1" applyBorder="1"/>
    <xf numFmtId="0" fontId="0" fillId="2" borderId="8" xfId="0" applyFill="1" applyBorder="1"/>
    <xf numFmtId="0" fontId="0" fillId="2" borderId="1" xfId="0" applyFill="1" applyBorder="1"/>
    <xf numFmtId="165" fontId="0" fillId="2" borderId="1" xfId="1" applyNumberFormat="1" applyFont="1" applyFill="1" applyBorder="1"/>
    <xf numFmtId="165" fontId="0" fillId="2" borderId="9" xfId="0" applyNumberForma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5</xdr:row>
      <xdr:rowOff>47625</xdr:rowOff>
    </xdr:from>
    <xdr:to>
      <xdr:col>4</xdr:col>
      <xdr:colOff>150494</xdr:colOff>
      <xdr:row>7</xdr:row>
      <xdr:rowOff>219075</xdr:rowOff>
    </xdr:to>
    <xdr:sp macro="" textlink="">
      <xdr:nvSpPr>
        <xdr:cNvPr id="2" name="Accolade fermante 1"/>
        <xdr:cNvSpPr/>
      </xdr:nvSpPr>
      <xdr:spPr>
        <a:xfrm>
          <a:off x="5467350" y="1266825"/>
          <a:ext cx="45719" cy="552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97156</xdr:colOff>
      <xdr:row>8</xdr:row>
      <xdr:rowOff>66675</xdr:rowOff>
    </xdr:from>
    <xdr:to>
      <xdr:col>4</xdr:col>
      <xdr:colOff>142875</xdr:colOff>
      <xdr:row>10</xdr:row>
      <xdr:rowOff>180975</xdr:rowOff>
    </xdr:to>
    <xdr:sp macro="" textlink="">
      <xdr:nvSpPr>
        <xdr:cNvPr id="3" name="Accolade fermante 2"/>
        <xdr:cNvSpPr/>
      </xdr:nvSpPr>
      <xdr:spPr>
        <a:xfrm>
          <a:off x="5459731" y="1905000"/>
          <a:ext cx="45719" cy="49530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104775</xdr:colOff>
      <xdr:row>19</xdr:row>
      <xdr:rowOff>28574</xdr:rowOff>
    </xdr:from>
    <xdr:to>
      <xdr:col>4</xdr:col>
      <xdr:colOff>150494</xdr:colOff>
      <xdr:row>21</xdr:row>
      <xdr:rowOff>228599</xdr:rowOff>
    </xdr:to>
    <xdr:sp macro="" textlink="">
      <xdr:nvSpPr>
        <xdr:cNvPr id="4" name="Accolade fermante 3"/>
        <xdr:cNvSpPr/>
      </xdr:nvSpPr>
      <xdr:spPr>
        <a:xfrm>
          <a:off x="5467350" y="3990974"/>
          <a:ext cx="45719" cy="5810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zoomScaleNormal="100" zoomScalePageLayoutView="80" workbookViewId="0">
      <selection activeCell="M28" sqref="M28"/>
    </sheetView>
  </sheetViews>
  <sheetFormatPr baseColWidth="10" defaultRowHeight="15" x14ac:dyDescent="0.25"/>
  <cols>
    <col min="1" max="1" width="40.42578125" customWidth="1"/>
    <col min="2" max="2" width="14.5703125" customWidth="1"/>
    <col min="3" max="4" width="12.7109375" customWidth="1"/>
    <col min="5" max="5" width="12.7109375" bestFit="1" customWidth="1"/>
    <col min="6" max="6" width="37.42578125" customWidth="1"/>
    <col min="7" max="8" width="12.85546875" customWidth="1"/>
    <col min="9" max="9" width="13.42578125" customWidth="1"/>
    <col min="10" max="10" width="12.7109375" bestFit="1" customWidth="1"/>
  </cols>
  <sheetData>
    <row r="1" spans="1:13" ht="27" thickBot="1" x14ac:dyDescent="0.45">
      <c r="A1" s="64" t="s">
        <v>85</v>
      </c>
      <c r="B1" s="65"/>
      <c r="C1" s="65"/>
      <c r="D1" s="66"/>
      <c r="E1" s="66"/>
      <c r="F1" s="66"/>
      <c r="G1" s="66"/>
      <c r="H1" s="66"/>
      <c r="I1" s="66"/>
      <c r="J1" s="67"/>
    </row>
    <row r="2" spans="1:13" ht="19.5" thickBot="1" x14ac:dyDescent="0.35">
      <c r="A2" s="61" t="s">
        <v>17</v>
      </c>
      <c r="B2" s="62"/>
      <c r="C2" s="62"/>
      <c r="D2" s="62"/>
      <c r="E2" s="63"/>
      <c r="F2" s="62" t="s">
        <v>16</v>
      </c>
      <c r="G2" s="62"/>
      <c r="H2" s="62"/>
      <c r="I2" s="62"/>
      <c r="J2" s="63"/>
    </row>
    <row r="3" spans="1:13" ht="19.5" thickBot="1" x14ac:dyDescent="0.35">
      <c r="A3" s="16"/>
      <c r="B3" s="17">
        <v>2016</v>
      </c>
      <c r="C3" s="17">
        <v>2017</v>
      </c>
      <c r="D3" s="58">
        <v>2018</v>
      </c>
      <c r="E3" s="17" t="s">
        <v>87</v>
      </c>
      <c r="F3" s="59"/>
      <c r="G3" s="17">
        <v>2016</v>
      </c>
      <c r="H3" s="17">
        <v>2017</v>
      </c>
      <c r="I3" s="18">
        <v>2018</v>
      </c>
      <c r="J3" s="19" t="s">
        <v>87</v>
      </c>
    </row>
    <row r="4" spans="1:13" x14ac:dyDescent="0.25">
      <c r="A4" s="2" t="s">
        <v>24</v>
      </c>
      <c r="B4" s="24">
        <f>245+15+824.22</f>
        <v>1084.22</v>
      </c>
      <c r="C4" s="12">
        <v>371</v>
      </c>
      <c r="D4" s="24">
        <v>5168</v>
      </c>
      <c r="E4" s="12">
        <v>2000</v>
      </c>
      <c r="F4" s="3" t="s">
        <v>45</v>
      </c>
      <c r="G4" s="12">
        <v>1172.5</v>
      </c>
      <c r="H4" s="12">
        <v>586</v>
      </c>
      <c r="I4" s="12">
        <v>5583</v>
      </c>
      <c r="J4" s="4">
        <v>3000</v>
      </c>
    </row>
    <row r="5" spans="1:13" x14ac:dyDescent="0.25">
      <c r="A5" s="2" t="s">
        <v>25</v>
      </c>
      <c r="B5" s="24"/>
      <c r="C5" s="12"/>
      <c r="D5" s="24"/>
      <c r="E5" s="12"/>
      <c r="F5" s="3" t="s">
        <v>0</v>
      </c>
      <c r="G5" s="12">
        <v>3373</v>
      </c>
      <c r="H5" s="14">
        <v>2404</v>
      </c>
      <c r="I5" s="14">
        <v>3598</v>
      </c>
      <c r="J5" s="4">
        <v>4204</v>
      </c>
      <c r="M5" s="47"/>
    </row>
    <row r="6" spans="1:13" x14ac:dyDescent="0.25">
      <c r="A6" s="2" t="s">
        <v>10</v>
      </c>
      <c r="B6" s="24">
        <f>120.6+275.4</f>
        <v>396</v>
      </c>
      <c r="C6" s="12">
        <f>417+478</f>
        <v>895</v>
      </c>
      <c r="D6" s="24">
        <v>771</v>
      </c>
      <c r="E6" s="12"/>
      <c r="F6" s="3" t="s">
        <v>1</v>
      </c>
      <c r="G6" s="12">
        <v>9193</v>
      </c>
      <c r="H6" s="14">
        <v>7937</v>
      </c>
      <c r="I6" s="14">
        <v>7945</v>
      </c>
      <c r="J6" s="4">
        <v>8000</v>
      </c>
    </row>
    <row r="7" spans="1:13" x14ac:dyDescent="0.25">
      <c r="A7" s="2" t="s">
        <v>26</v>
      </c>
      <c r="B7" s="24">
        <f>664.93+74</f>
        <v>738.93</v>
      </c>
      <c r="C7" s="12">
        <f>493</f>
        <v>493</v>
      </c>
      <c r="D7" s="24">
        <f>1399+439</f>
        <v>1838</v>
      </c>
      <c r="E7" s="12">
        <v>1800</v>
      </c>
      <c r="F7" s="3" t="s">
        <v>18</v>
      </c>
      <c r="G7" s="12">
        <f>1196+215+1853+675+2469+3137.6+1802</f>
        <v>11347.6</v>
      </c>
      <c r="H7" s="14">
        <v>7340</v>
      </c>
      <c r="I7" s="14">
        <f>31515-I6-I5</f>
        <v>19972</v>
      </c>
      <c r="J7" s="4">
        <v>9000</v>
      </c>
      <c r="M7" s="47"/>
    </row>
    <row r="8" spans="1:13" ht="18.75" x14ac:dyDescent="0.3">
      <c r="A8" s="2" t="s">
        <v>27</v>
      </c>
      <c r="B8" s="24">
        <v>1209.77</v>
      </c>
      <c r="C8" s="12">
        <v>969</v>
      </c>
      <c r="D8" s="24">
        <v>490</v>
      </c>
      <c r="E8" s="12"/>
      <c r="F8" s="32" t="s">
        <v>21</v>
      </c>
      <c r="G8" s="33">
        <f>SUM(G4:G7)</f>
        <v>25086.1</v>
      </c>
      <c r="H8" s="33">
        <f>SUM(H4:H7)</f>
        <v>18267</v>
      </c>
      <c r="I8" s="33">
        <f>SUM(I4:I7)</f>
        <v>37098</v>
      </c>
      <c r="J8" s="34">
        <f>SUM(J4:J7)</f>
        <v>24204</v>
      </c>
    </row>
    <row r="9" spans="1:13" x14ac:dyDescent="0.25">
      <c r="A9" s="2" t="s">
        <v>28</v>
      </c>
      <c r="B9" s="24">
        <f>39.95+4365.3+900+500+200+3063.36</f>
        <v>9068.61</v>
      </c>
      <c r="C9" s="12">
        <v>5445</v>
      </c>
      <c r="D9" s="24">
        <f>64.76+2662+481.32+2843.38+2523.88</f>
        <v>8575.34</v>
      </c>
      <c r="E9" s="12"/>
      <c r="F9" s="7"/>
      <c r="G9" s="43"/>
      <c r="H9" s="14"/>
      <c r="I9" s="14"/>
      <c r="J9" s="8"/>
    </row>
    <row r="10" spans="1:13" x14ac:dyDescent="0.25">
      <c r="A10" s="2" t="s">
        <v>29</v>
      </c>
      <c r="B10" s="24">
        <v>5624.65</v>
      </c>
      <c r="C10" s="12">
        <v>5533</v>
      </c>
      <c r="D10" s="24">
        <v>5886</v>
      </c>
      <c r="E10" s="12">
        <v>14100</v>
      </c>
      <c r="F10" s="3" t="s">
        <v>19</v>
      </c>
      <c r="G10" s="12"/>
      <c r="H10" s="14"/>
      <c r="I10" s="14"/>
      <c r="J10" s="4"/>
    </row>
    <row r="11" spans="1:13" x14ac:dyDescent="0.25">
      <c r="A11" s="2" t="s">
        <v>31</v>
      </c>
      <c r="B11" s="24"/>
      <c r="C11" s="12"/>
      <c r="D11" s="24">
        <v>597</v>
      </c>
      <c r="E11" s="12"/>
      <c r="F11" s="46" t="s">
        <v>20</v>
      </c>
      <c r="G11" s="12"/>
      <c r="H11" s="14"/>
      <c r="I11" s="14"/>
      <c r="J11" s="4"/>
    </row>
    <row r="12" spans="1:13" x14ac:dyDescent="0.25">
      <c r="A12" s="2" t="s">
        <v>30</v>
      </c>
      <c r="B12" s="24">
        <v>540</v>
      </c>
      <c r="C12" s="12">
        <v>90</v>
      </c>
      <c r="D12" s="24">
        <v>274</v>
      </c>
      <c r="E12" s="12"/>
      <c r="F12" s="3" t="s">
        <v>2</v>
      </c>
      <c r="G12" s="12">
        <v>6000</v>
      </c>
      <c r="H12" s="14">
        <v>6000</v>
      </c>
      <c r="I12" s="14">
        <v>6000</v>
      </c>
      <c r="J12" s="4">
        <v>6000</v>
      </c>
    </row>
    <row r="13" spans="1:13" x14ac:dyDescent="0.25">
      <c r="A13" s="2" t="s">
        <v>78</v>
      </c>
      <c r="B13" s="24">
        <v>2400</v>
      </c>
      <c r="C13" s="12">
        <v>2400</v>
      </c>
      <c r="D13" s="24">
        <v>2400</v>
      </c>
      <c r="E13" s="12">
        <v>2400</v>
      </c>
      <c r="F13" s="3" t="s">
        <v>3</v>
      </c>
      <c r="G13" s="12">
        <v>14400</v>
      </c>
      <c r="H13" s="14">
        <v>14400</v>
      </c>
      <c r="I13" s="14">
        <v>17466</v>
      </c>
      <c r="J13" s="4">
        <v>16566</v>
      </c>
    </row>
    <row r="14" spans="1:13" x14ac:dyDescent="0.25">
      <c r="A14" s="2" t="s">
        <v>32</v>
      </c>
      <c r="B14" s="24"/>
      <c r="C14" s="12">
        <v>786</v>
      </c>
      <c r="D14" s="24">
        <v>1793</v>
      </c>
      <c r="E14" s="12">
        <v>200</v>
      </c>
      <c r="F14" s="3" t="s">
        <v>4</v>
      </c>
      <c r="G14" s="12">
        <v>8000</v>
      </c>
      <c r="H14" s="14">
        <v>8000</v>
      </c>
      <c r="I14" s="14">
        <v>10000</v>
      </c>
      <c r="J14" s="4">
        <v>10000</v>
      </c>
    </row>
    <row r="15" spans="1:13" x14ac:dyDescent="0.25">
      <c r="A15" s="2" t="s">
        <v>11</v>
      </c>
      <c r="B15" s="24">
        <v>675.33</v>
      </c>
      <c r="C15" s="12">
        <v>1197</v>
      </c>
      <c r="D15" s="24">
        <v>685</v>
      </c>
      <c r="E15" s="12">
        <v>700</v>
      </c>
      <c r="F15" s="3" t="s">
        <v>5</v>
      </c>
      <c r="G15" s="12">
        <v>1000</v>
      </c>
      <c r="H15" s="14">
        <v>1000</v>
      </c>
      <c r="I15" s="14">
        <v>1250</v>
      </c>
      <c r="J15" s="4">
        <v>1000</v>
      </c>
    </row>
    <row r="16" spans="1:13" x14ac:dyDescent="0.25">
      <c r="A16" s="2" t="s">
        <v>12</v>
      </c>
      <c r="B16" s="24">
        <v>2.2000000000000002</v>
      </c>
      <c r="C16" s="12"/>
      <c r="D16" s="24"/>
      <c r="E16" s="12">
        <v>70</v>
      </c>
      <c r="F16" s="3" t="s">
        <v>6</v>
      </c>
      <c r="G16" s="12"/>
      <c r="H16" s="14"/>
      <c r="I16" s="14"/>
      <c r="J16" s="4"/>
    </row>
    <row r="17" spans="1:13" ht="17.25" customHeight="1" x14ac:dyDescent="0.3">
      <c r="A17" s="2" t="s">
        <v>13</v>
      </c>
      <c r="B17" s="24"/>
      <c r="C17" s="12"/>
      <c r="D17" s="24"/>
      <c r="E17" s="12"/>
      <c r="F17" s="32" t="s">
        <v>22</v>
      </c>
      <c r="G17" s="33">
        <f>SUM(G12:G16)</f>
        <v>29400</v>
      </c>
      <c r="H17" s="33">
        <f>SUM(H12:H16)</f>
        <v>29400</v>
      </c>
      <c r="I17" s="33">
        <f>SUM(I12:I16)</f>
        <v>34716</v>
      </c>
      <c r="J17" s="34">
        <f>SUM(J12:J16)</f>
        <v>33566</v>
      </c>
    </row>
    <row r="18" spans="1:13" x14ac:dyDescent="0.25">
      <c r="A18" s="2" t="s">
        <v>33</v>
      </c>
      <c r="B18" s="24">
        <v>2544</v>
      </c>
      <c r="C18" s="12">
        <v>2596</v>
      </c>
      <c r="D18" s="24">
        <v>2900</v>
      </c>
      <c r="E18" s="12">
        <v>2900</v>
      </c>
      <c r="F18" s="5"/>
      <c r="G18" s="12"/>
      <c r="H18" s="15"/>
      <c r="I18" s="15"/>
      <c r="J18" s="6"/>
    </row>
    <row r="19" spans="1:13" x14ac:dyDescent="0.25">
      <c r="A19" s="2" t="s">
        <v>34</v>
      </c>
      <c r="B19" s="24">
        <f>1600+3753.65+719.05</f>
        <v>6072.7</v>
      </c>
      <c r="C19" s="12">
        <f>1400+2703+769+61</f>
        <v>4933</v>
      </c>
      <c r="D19" s="24">
        <v>6299</v>
      </c>
      <c r="E19" s="12">
        <v>8000</v>
      </c>
      <c r="F19" s="3" t="s">
        <v>44</v>
      </c>
      <c r="G19" s="12">
        <v>6964.33</v>
      </c>
      <c r="H19" s="14"/>
      <c r="I19" s="14"/>
      <c r="J19" s="4"/>
    </row>
    <row r="20" spans="1:13" x14ac:dyDescent="0.25">
      <c r="A20" s="2" t="s">
        <v>83</v>
      </c>
      <c r="B20" s="24">
        <f>1409+177.4</f>
        <v>1586.4</v>
      </c>
      <c r="C20" s="12">
        <f>900+388</f>
        <v>1288</v>
      </c>
      <c r="D20" s="24">
        <f>1240+382</f>
        <v>1622</v>
      </c>
      <c r="E20" s="77">
        <v>4100</v>
      </c>
      <c r="F20" s="3"/>
      <c r="G20" s="12"/>
      <c r="H20" s="14"/>
      <c r="I20" s="14"/>
      <c r="J20" s="4"/>
    </row>
    <row r="21" spans="1:13" x14ac:dyDescent="0.25">
      <c r="A21" s="2" t="s">
        <v>35</v>
      </c>
      <c r="B21" s="24">
        <f>941.14+456.2+1087.99</f>
        <v>2485.33</v>
      </c>
      <c r="C21" s="12">
        <f>1198+761</f>
        <v>1959</v>
      </c>
      <c r="D21" s="24">
        <f>984+410+4948.38+673</f>
        <v>7015.38</v>
      </c>
      <c r="E21" s="77"/>
      <c r="F21" s="3" t="s">
        <v>7</v>
      </c>
      <c r="G21" s="12">
        <v>300</v>
      </c>
      <c r="H21" s="14">
        <v>3905</v>
      </c>
      <c r="I21" s="14">
        <v>6650</v>
      </c>
      <c r="J21" s="4">
        <v>4000</v>
      </c>
    </row>
    <row r="22" spans="1:13" ht="18.75" x14ac:dyDescent="0.3">
      <c r="A22" s="2" t="s">
        <v>95</v>
      </c>
      <c r="B22" s="24">
        <f>27.59+154.44+2770.19</f>
        <v>2952.2200000000003</v>
      </c>
      <c r="C22" s="12">
        <v>1513</v>
      </c>
      <c r="D22" s="24">
        <v>1760</v>
      </c>
      <c r="E22" s="12"/>
      <c r="F22" s="32" t="s">
        <v>23</v>
      </c>
      <c r="G22" s="33">
        <f>SUM(G19:G21)</f>
        <v>7264.33</v>
      </c>
      <c r="H22" s="33">
        <f>SUM(H19:H21)</f>
        <v>3905</v>
      </c>
      <c r="I22" s="33">
        <f>SUM(I19:I21)</f>
        <v>6650</v>
      </c>
      <c r="J22" s="34">
        <f>SUM(J19:J21)</f>
        <v>4000</v>
      </c>
    </row>
    <row r="23" spans="1:13" x14ac:dyDescent="0.25">
      <c r="A23" s="2" t="s">
        <v>14</v>
      </c>
      <c r="B23" s="24">
        <v>166.11</v>
      </c>
      <c r="C23" s="12">
        <v>156</v>
      </c>
      <c r="D23" s="24">
        <v>216</v>
      </c>
      <c r="E23" s="12">
        <v>200</v>
      </c>
      <c r="F23" s="5"/>
      <c r="G23" s="44"/>
      <c r="H23" s="14"/>
      <c r="I23" s="14"/>
      <c r="J23" s="8"/>
    </row>
    <row r="24" spans="1:13" ht="18.75" x14ac:dyDescent="0.3">
      <c r="A24" s="35" t="s">
        <v>40</v>
      </c>
      <c r="B24" s="39">
        <f t="shared" ref="B24:C24" si="0">SUM(B4:B23)</f>
        <v>37546.470000000008</v>
      </c>
      <c r="C24" s="39">
        <f t="shared" si="0"/>
        <v>30624</v>
      </c>
      <c r="D24" s="39">
        <f>SUM(D4:D23)</f>
        <v>48289.719999999994</v>
      </c>
      <c r="E24" s="36">
        <f>SUM(E4:E23)</f>
        <v>36470</v>
      </c>
      <c r="F24" s="56" t="s">
        <v>88</v>
      </c>
      <c r="G24" s="13"/>
      <c r="H24" s="13"/>
      <c r="I24" s="57">
        <v>900</v>
      </c>
      <c r="J24" s="10"/>
      <c r="M24" s="47"/>
    </row>
    <row r="25" spans="1:13" x14ac:dyDescent="0.25">
      <c r="A25" s="2" t="s">
        <v>84</v>
      </c>
      <c r="B25" s="24">
        <v>340</v>
      </c>
      <c r="C25" s="12">
        <f>348+132+259</f>
        <v>739</v>
      </c>
      <c r="D25" s="24">
        <v>372</v>
      </c>
      <c r="E25" s="12">
        <v>400</v>
      </c>
      <c r="F25" s="3"/>
      <c r="G25" s="13"/>
      <c r="H25" s="13"/>
      <c r="I25" s="13"/>
      <c r="J25" s="10"/>
    </row>
    <row r="26" spans="1:13" x14ac:dyDescent="0.25">
      <c r="A26" s="2" t="s">
        <v>36</v>
      </c>
      <c r="B26" s="24">
        <f>22222.69</f>
        <v>22222.69</v>
      </c>
      <c r="C26" s="12">
        <f>18909+2986</f>
        <v>21895</v>
      </c>
      <c r="D26" s="24">
        <f>20070+3961</f>
        <v>24031</v>
      </c>
      <c r="E26" s="12">
        <v>25800</v>
      </c>
      <c r="F26" s="3"/>
      <c r="G26" s="13"/>
      <c r="H26" s="13"/>
      <c r="I26" s="13"/>
      <c r="J26" s="10"/>
    </row>
    <row r="27" spans="1:13" ht="18.75" x14ac:dyDescent="0.3">
      <c r="A27" s="2" t="s">
        <v>15</v>
      </c>
      <c r="B27" s="24">
        <v>1091.25</v>
      </c>
      <c r="C27" s="12">
        <v>1117</v>
      </c>
      <c r="D27" s="24">
        <v>1956</v>
      </c>
      <c r="E27" s="12">
        <v>1500</v>
      </c>
      <c r="F27" s="32" t="s">
        <v>89</v>
      </c>
      <c r="G27" s="33">
        <f>SUM(G24:G26)</f>
        <v>0</v>
      </c>
      <c r="H27" s="33">
        <f t="shared" ref="H27:J27" si="1">SUM(H24:H26)</f>
        <v>0</v>
      </c>
      <c r="I27" s="33">
        <f t="shared" si="1"/>
        <v>900</v>
      </c>
      <c r="J27" s="33">
        <f t="shared" si="1"/>
        <v>0</v>
      </c>
    </row>
    <row r="28" spans="1:13" ht="18.75" x14ac:dyDescent="0.3">
      <c r="A28" s="35" t="s">
        <v>96</v>
      </c>
      <c r="B28" s="39">
        <f t="shared" ref="B28:C28" si="2">SUM(B25:B27)</f>
        <v>23653.94</v>
      </c>
      <c r="C28" s="39">
        <f t="shared" si="2"/>
        <v>23751</v>
      </c>
      <c r="D28" s="39">
        <f>SUM(D25:D27)</f>
        <v>26359</v>
      </c>
      <c r="E28" s="36">
        <f>SUM(E25:E27)</f>
        <v>27700</v>
      </c>
      <c r="F28" s="3"/>
      <c r="G28" s="13"/>
      <c r="H28" s="13"/>
      <c r="I28" s="13"/>
      <c r="J28" s="10"/>
    </row>
    <row r="29" spans="1:13" ht="18.75" x14ac:dyDescent="0.3">
      <c r="A29" s="2"/>
      <c r="B29" s="24"/>
      <c r="C29" s="12"/>
      <c r="D29" s="24"/>
      <c r="E29" s="12"/>
      <c r="F29" s="32" t="s">
        <v>43</v>
      </c>
      <c r="G29" s="33">
        <f t="shared" ref="G29:H29" si="3">G22+G17+G10+G8+G27</f>
        <v>61750.43</v>
      </c>
      <c r="H29" s="33">
        <f t="shared" si="3"/>
        <v>51572</v>
      </c>
      <c r="I29" s="33">
        <f>I22+I17+I10+I8+I27</f>
        <v>79364</v>
      </c>
      <c r="J29" s="33">
        <f>J22+J17+J10+J8+J27</f>
        <v>61770</v>
      </c>
    </row>
    <row r="30" spans="1:13" ht="18.75" x14ac:dyDescent="0.3">
      <c r="A30" s="35" t="s">
        <v>38</v>
      </c>
      <c r="B30" s="39">
        <f t="shared" ref="B30:C30" si="4">B24+B28</f>
        <v>61200.41</v>
      </c>
      <c r="C30" s="39">
        <f t="shared" si="4"/>
        <v>54375</v>
      </c>
      <c r="D30" s="39">
        <f>D24+D28</f>
        <v>74648.72</v>
      </c>
      <c r="E30" s="36">
        <f>E28+E24</f>
        <v>64170</v>
      </c>
      <c r="F30" s="5"/>
      <c r="G30" s="12"/>
      <c r="H30" s="15"/>
      <c r="I30" s="15"/>
      <c r="J30" s="6"/>
    </row>
    <row r="31" spans="1:13" x14ac:dyDescent="0.25">
      <c r="A31" s="11" t="s">
        <v>39</v>
      </c>
      <c r="B31" s="11"/>
      <c r="C31" s="12"/>
      <c r="D31" s="24"/>
      <c r="E31" s="12"/>
      <c r="F31" s="3" t="s">
        <v>8</v>
      </c>
      <c r="G31" s="12">
        <v>29.76</v>
      </c>
      <c r="H31" s="14">
        <v>79</v>
      </c>
      <c r="I31" s="14">
        <v>46</v>
      </c>
      <c r="J31" s="4">
        <v>50</v>
      </c>
    </row>
    <row r="32" spans="1:13" x14ac:dyDescent="0.25">
      <c r="A32" s="9"/>
      <c r="B32" s="9"/>
      <c r="C32" s="12"/>
      <c r="D32" s="24"/>
      <c r="E32" s="12"/>
      <c r="F32" s="5"/>
      <c r="G32" s="12"/>
      <c r="H32" s="15"/>
      <c r="I32" s="15"/>
      <c r="J32" s="6"/>
    </row>
    <row r="33" spans="1:12" x14ac:dyDescent="0.25">
      <c r="A33" s="2" t="s">
        <v>37</v>
      </c>
      <c r="B33" s="52">
        <f>0.06+170</f>
        <v>170.06</v>
      </c>
      <c r="C33" s="12">
        <v>81</v>
      </c>
      <c r="D33" s="24"/>
      <c r="E33" s="12"/>
      <c r="F33" s="3" t="s">
        <v>9</v>
      </c>
      <c r="G33" s="12">
        <f>1.6+30</f>
        <v>31.6</v>
      </c>
      <c r="H33" s="14">
        <v>515</v>
      </c>
      <c r="I33" s="14">
        <v>154</v>
      </c>
      <c r="J33" s="4"/>
    </row>
    <row r="34" spans="1:12" x14ac:dyDescent="0.25">
      <c r="A34" s="2" t="s">
        <v>94</v>
      </c>
      <c r="B34" s="2"/>
      <c r="C34" s="12">
        <v>3905</v>
      </c>
      <c r="D34" s="24">
        <v>1576</v>
      </c>
      <c r="E34" s="13"/>
      <c r="F34" s="3" t="s">
        <v>93</v>
      </c>
      <c r="G34" s="12"/>
      <c r="H34" s="14"/>
      <c r="I34" s="14">
        <v>3905</v>
      </c>
      <c r="J34" s="4"/>
    </row>
    <row r="35" spans="1:12" ht="18.75" x14ac:dyDescent="0.3">
      <c r="A35" s="35" t="s">
        <v>42</v>
      </c>
      <c r="B35" s="39">
        <f>B30+B31+B32+B33+B34</f>
        <v>61370.47</v>
      </c>
      <c r="C35" s="39">
        <f>C30+C31+C32+C33+C34</f>
        <v>58361</v>
      </c>
      <c r="D35" s="39">
        <f>D30+D31+D32+D33+D34</f>
        <v>76224.72</v>
      </c>
      <c r="E35" s="36">
        <f>E30+E31+E32+E33+E34</f>
        <v>64170</v>
      </c>
      <c r="F35" s="32" t="s">
        <v>41</v>
      </c>
      <c r="G35" s="33">
        <f t="shared" ref="G35:H35" si="5">G29+G30+G31+G32+G33+G34</f>
        <v>61811.79</v>
      </c>
      <c r="H35" s="33">
        <f t="shared" si="5"/>
        <v>52166</v>
      </c>
      <c r="I35" s="33">
        <f>I29+I30+I31+I32+I33+I34</f>
        <v>83469</v>
      </c>
      <c r="J35" s="33">
        <f>J29+J30+J31+J32+J33+J34</f>
        <v>61820</v>
      </c>
      <c r="L35" s="47"/>
    </row>
    <row r="36" spans="1:12" ht="15.75" thickBot="1" x14ac:dyDescent="0.3">
      <c r="A36" s="2"/>
      <c r="B36" s="2"/>
      <c r="C36" s="13"/>
      <c r="E36" s="13"/>
      <c r="F36" s="3"/>
      <c r="G36" s="13"/>
      <c r="H36" s="14"/>
      <c r="I36" s="14"/>
      <c r="J36" s="4"/>
    </row>
    <row r="37" spans="1:12" ht="19.5" thickBot="1" x14ac:dyDescent="0.35">
      <c r="A37" s="78" t="s">
        <v>97</v>
      </c>
      <c r="B37" s="79">
        <f>G35-B35</f>
        <v>441.31999999999971</v>
      </c>
      <c r="C37" s="79">
        <f>H35-C35</f>
        <v>-6195</v>
      </c>
      <c r="D37" s="80">
        <f>I35-D35</f>
        <v>7244.2799999999988</v>
      </c>
      <c r="E37" s="79">
        <f>J35-E35</f>
        <v>-2350</v>
      </c>
      <c r="F37" s="81"/>
      <c r="G37" s="82"/>
      <c r="H37" s="83"/>
      <c r="I37" s="83"/>
      <c r="J37" s="84"/>
    </row>
    <row r="39" spans="1:12" x14ac:dyDescent="0.25">
      <c r="D39" s="47"/>
      <c r="G39" s="47"/>
      <c r="J39" s="1"/>
    </row>
    <row r="40" spans="1:12" x14ac:dyDescent="0.25">
      <c r="E40" s="47"/>
      <c r="I40" s="47"/>
    </row>
  </sheetData>
  <mergeCells count="4">
    <mergeCell ref="A2:E2"/>
    <mergeCell ref="F2:J2"/>
    <mergeCell ref="A1:J1"/>
    <mergeCell ref="E20:E21"/>
  </mergeCells>
  <pageMargins left="0.94488188976377963" right="0.23622047244094491" top="1.1417322834645669" bottom="0.74803149606299213" header="0.31496062992125984" footer="0.31496062992125984"/>
  <pageSetup paperSize="9" scale="68" orientation="landscape" r:id="rId1"/>
  <headerFooter>
    <oddHeader>&amp;C&amp;"-,Gras"&amp;20Association Nayart  -  Comptes financiers 2016</oddHeader>
  </headerFooter>
  <colBreaks count="1" manualBreakCount="1">
    <brk id="10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34"/>
  <sheetViews>
    <sheetView zoomScaleNormal="100" zoomScalePageLayoutView="70" workbookViewId="0">
      <selection activeCell="O36" sqref="O36"/>
    </sheetView>
  </sheetViews>
  <sheetFormatPr baseColWidth="10" defaultRowHeight="15" x14ac:dyDescent="0.25"/>
  <cols>
    <col min="2" max="2" width="42.140625" bestFit="1" customWidth="1"/>
    <col min="3" max="3" width="12.5703125" customWidth="1"/>
    <col min="4" max="4" width="11.42578125" customWidth="1"/>
    <col min="5" max="6" width="12.7109375" bestFit="1" customWidth="1"/>
    <col min="7" max="7" width="11.28515625" bestFit="1" customWidth="1"/>
    <col min="8" max="9" width="12.7109375" bestFit="1" customWidth="1"/>
    <col min="10" max="10" width="11.28515625" bestFit="1" customWidth="1"/>
    <col min="11" max="11" width="12.7109375" bestFit="1" customWidth="1"/>
    <col min="12" max="12" width="12.7109375" hidden="1" customWidth="1"/>
    <col min="13" max="13" width="0" hidden="1" customWidth="1"/>
    <col min="14" max="14" width="12.7109375" hidden="1" customWidth="1"/>
    <col min="15" max="15" width="25.7109375" bestFit="1" customWidth="1"/>
    <col min="16" max="18" width="12.7109375" bestFit="1" customWidth="1"/>
    <col min="19" max="19" width="12.7109375" hidden="1" customWidth="1"/>
  </cols>
  <sheetData>
    <row r="3" spans="2:19" ht="15.75" thickBot="1" x14ac:dyDescent="0.3"/>
    <row r="4" spans="2:19" ht="29.25" thickBot="1" x14ac:dyDescent="0.5">
      <c r="B4" s="74" t="s">
        <v>86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6"/>
      <c r="S4" s="55"/>
    </row>
    <row r="5" spans="2:19" ht="19.5" thickBot="1" x14ac:dyDescent="0.35">
      <c r="B5" s="45"/>
      <c r="C5" s="71">
        <v>2016</v>
      </c>
      <c r="D5" s="72"/>
      <c r="E5" s="73"/>
      <c r="F5" s="68">
        <v>2017</v>
      </c>
      <c r="G5" s="69"/>
      <c r="H5" s="70"/>
      <c r="I5" s="68">
        <v>2018</v>
      </c>
      <c r="J5" s="69"/>
      <c r="K5" s="70"/>
      <c r="L5" s="68">
        <v>2013</v>
      </c>
      <c r="M5" s="69"/>
      <c r="N5" s="70"/>
      <c r="O5" s="45"/>
      <c r="P5" s="53">
        <v>2016</v>
      </c>
      <c r="Q5" s="53">
        <v>2017</v>
      </c>
      <c r="R5" s="53">
        <v>2018</v>
      </c>
      <c r="S5" s="54">
        <v>2013</v>
      </c>
    </row>
    <row r="6" spans="2:19" ht="19.5" thickBot="1" x14ac:dyDescent="0.35">
      <c r="B6" s="13"/>
      <c r="C6" s="27" t="s">
        <v>75</v>
      </c>
      <c r="D6" s="28" t="s">
        <v>76</v>
      </c>
      <c r="E6" s="29" t="s">
        <v>77</v>
      </c>
      <c r="F6" s="27" t="s">
        <v>75</v>
      </c>
      <c r="G6" s="28" t="s">
        <v>76</v>
      </c>
      <c r="H6" s="29" t="s">
        <v>77</v>
      </c>
      <c r="I6" s="27" t="s">
        <v>75</v>
      </c>
      <c r="J6" s="28" t="s">
        <v>76</v>
      </c>
      <c r="K6" s="29" t="s">
        <v>77</v>
      </c>
      <c r="L6" s="27" t="s">
        <v>75</v>
      </c>
      <c r="M6" s="28" t="s">
        <v>76</v>
      </c>
      <c r="N6" s="29" t="s">
        <v>77</v>
      </c>
      <c r="O6" s="13"/>
      <c r="P6" s="12"/>
      <c r="Q6" s="26"/>
      <c r="R6" s="26"/>
      <c r="S6" s="20"/>
    </row>
    <row r="7" spans="2:19" x14ac:dyDescent="0.25">
      <c r="B7" s="13" t="s">
        <v>64</v>
      </c>
      <c r="C7" s="24">
        <v>109</v>
      </c>
      <c r="D7" s="24">
        <v>109</v>
      </c>
      <c r="E7" s="12">
        <v>0</v>
      </c>
      <c r="F7" s="24">
        <v>109</v>
      </c>
      <c r="G7" s="12">
        <v>109</v>
      </c>
      <c r="H7" s="31">
        <f t="shared" ref="H7:H8" si="0">F7-G7</f>
        <v>0</v>
      </c>
      <c r="I7" s="24">
        <v>109</v>
      </c>
      <c r="J7" s="12">
        <v>109</v>
      </c>
      <c r="K7" s="4">
        <f>I7-J7</f>
        <v>0</v>
      </c>
      <c r="L7" s="24">
        <v>109</v>
      </c>
      <c r="M7" s="12">
        <v>109</v>
      </c>
      <c r="N7" s="25">
        <v>0</v>
      </c>
      <c r="O7" s="13" t="s">
        <v>51</v>
      </c>
      <c r="P7" s="12">
        <v>3002.41</v>
      </c>
      <c r="Q7" s="30">
        <v>3002</v>
      </c>
      <c r="R7" s="30">
        <v>3002</v>
      </c>
      <c r="S7" s="25">
        <v>3002</v>
      </c>
    </row>
    <row r="8" spans="2:19" x14ac:dyDescent="0.25">
      <c r="B8" s="13" t="s">
        <v>65</v>
      </c>
      <c r="C8" s="24">
        <f>5745.3+135</f>
        <v>5880.3</v>
      </c>
      <c r="D8" s="24"/>
      <c r="E8" s="12">
        <f>C8-D8</f>
        <v>5880.3</v>
      </c>
      <c r="F8" s="24">
        <f>5745+135</f>
        <v>5880</v>
      </c>
      <c r="G8" s="12"/>
      <c r="H8" s="31">
        <f t="shared" si="0"/>
        <v>5880</v>
      </c>
      <c r="I8" s="24">
        <v>5880</v>
      </c>
      <c r="J8" s="12"/>
      <c r="K8" s="4">
        <f t="shared" ref="K8:K9" si="1">I8-J8</f>
        <v>5880</v>
      </c>
      <c r="L8" s="24"/>
      <c r="M8" s="12"/>
      <c r="N8" s="25"/>
      <c r="O8" s="13"/>
      <c r="P8" s="12"/>
      <c r="Q8" s="30"/>
      <c r="R8" s="30"/>
      <c r="S8" s="25"/>
    </row>
    <row r="9" spans="2:19" x14ac:dyDescent="0.25">
      <c r="B9" s="13" t="s">
        <v>90</v>
      </c>
      <c r="C9" s="24"/>
      <c r="D9" s="24"/>
      <c r="E9" s="12">
        <f>C9-D9</f>
        <v>0</v>
      </c>
      <c r="F9" s="24">
        <v>1820</v>
      </c>
      <c r="G9" s="12"/>
      <c r="H9" s="31">
        <f>F9-G9</f>
        <v>1820</v>
      </c>
      <c r="I9" s="24">
        <v>1820</v>
      </c>
      <c r="J9" s="12">
        <v>603</v>
      </c>
      <c r="K9" s="4">
        <f t="shared" si="1"/>
        <v>1217</v>
      </c>
      <c r="L9" s="24">
        <v>4658</v>
      </c>
      <c r="M9" s="12"/>
      <c r="N9" s="25">
        <f t="shared" ref="N9:N13" si="2">L9-M9</f>
        <v>4658</v>
      </c>
      <c r="O9" s="13" t="s">
        <v>52</v>
      </c>
      <c r="P9" s="12">
        <v>13029.65</v>
      </c>
      <c r="Q9" s="30">
        <v>13030</v>
      </c>
      <c r="R9" s="30">
        <v>13030</v>
      </c>
      <c r="S9" s="25">
        <v>13030</v>
      </c>
    </row>
    <row r="10" spans="2:19" ht="18.75" x14ac:dyDescent="0.3">
      <c r="B10" s="38" t="s">
        <v>79</v>
      </c>
      <c r="C10" s="39">
        <f t="shared" ref="C10:E10" si="3">SUM(C7:C9)</f>
        <v>5989.3</v>
      </c>
      <c r="D10" s="36">
        <f t="shared" si="3"/>
        <v>109</v>
      </c>
      <c r="E10" s="37">
        <f t="shared" si="3"/>
        <v>5880.3</v>
      </c>
      <c r="F10" s="39">
        <f t="shared" ref="F10:H10" si="4">SUM(F7:F9)</f>
        <v>7809</v>
      </c>
      <c r="G10" s="36">
        <f t="shared" si="4"/>
        <v>109</v>
      </c>
      <c r="H10" s="40">
        <f t="shared" si="4"/>
        <v>7700</v>
      </c>
      <c r="I10" s="39">
        <f>SUM(I7:I9)</f>
        <v>7809</v>
      </c>
      <c r="J10" s="39">
        <f t="shared" ref="J10:N10" si="5">SUM(J7:J9)</f>
        <v>712</v>
      </c>
      <c r="K10" s="39">
        <f t="shared" si="5"/>
        <v>7097</v>
      </c>
      <c r="L10" s="39">
        <f t="shared" si="5"/>
        <v>4767</v>
      </c>
      <c r="M10" s="39">
        <f t="shared" si="5"/>
        <v>109</v>
      </c>
      <c r="N10" s="39">
        <f t="shared" si="5"/>
        <v>4658</v>
      </c>
      <c r="O10" s="13"/>
      <c r="P10" s="12"/>
      <c r="Q10" s="30"/>
      <c r="R10" s="30"/>
      <c r="S10" s="25"/>
    </row>
    <row r="11" spans="2:19" x14ac:dyDescent="0.25">
      <c r="B11" s="13" t="s">
        <v>66</v>
      </c>
      <c r="C11" s="24">
        <v>6674.79</v>
      </c>
      <c r="D11" s="24">
        <v>2491.2399999999998</v>
      </c>
      <c r="E11" s="12">
        <f>C11-D11</f>
        <v>4183.55</v>
      </c>
      <c r="F11" s="24">
        <v>6675</v>
      </c>
      <c r="G11" s="12">
        <v>3408</v>
      </c>
      <c r="H11" s="31">
        <f>F11-G11</f>
        <v>3267</v>
      </c>
      <c r="I11" s="24">
        <v>11917</v>
      </c>
      <c r="J11" s="12">
        <v>4627</v>
      </c>
      <c r="K11" s="4">
        <f>I11-J11</f>
        <v>7290</v>
      </c>
      <c r="L11" s="24">
        <v>4265</v>
      </c>
      <c r="M11" s="12">
        <v>209</v>
      </c>
      <c r="N11" s="25">
        <f t="shared" si="2"/>
        <v>4056</v>
      </c>
      <c r="O11" s="13" t="s">
        <v>58</v>
      </c>
      <c r="P11" s="12">
        <v>10797.22</v>
      </c>
      <c r="Q11" s="30">
        <v>11238</v>
      </c>
      <c r="R11" s="30">
        <v>5045</v>
      </c>
      <c r="S11" s="25">
        <v>6478</v>
      </c>
    </row>
    <row r="12" spans="2:19" x14ac:dyDescent="0.25">
      <c r="B12" s="13" t="s">
        <v>67</v>
      </c>
      <c r="C12" s="24">
        <v>927.92</v>
      </c>
      <c r="D12" s="24">
        <v>927.92</v>
      </c>
      <c r="E12" s="12">
        <f t="shared" ref="E12:E13" si="6">C12-D12</f>
        <v>0</v>
      </c>
      <c r="F12" s="24">
        <v>928</v>
      </c>
      <c r="G12" s="12">
        <v>928</v>
      </c>
      <c r="H12" s="31">
        <f t="shared" ref="H12:H13" si="7">F12-G12</f>
        <v>0</v>
      </c>
      <c r="I12" s="24">
        <v>928</v>
      </c>
      <c r="J12" s="12">
        <v>928</v>
      </c>
      <c r="K12" s="4">
        <f t="shared" ref="K12:K13" si="8">I12-J12</f>
        <v>0</v>
      </c>
      <c r="L12" s="24">
        <v>928</v>
      </c>
      <c r="M12" s="12">
        <v>517</v>
      </c>
      <c r="N12" s="25">
        <f t="shared" si="2"/>
        <v>411</v>
      </c>
      <c r="O12" s="13" t="s">
        <v>53</v>
      </c>
      <c r="P12" s="12">
        <v>441</v>
      </c>
      <c r="Q12" s="30">
        <v>-6193</v>
      </c>
      <c r="R12" s="30">
        <v>7243</v>
      </c>
      <c r="S12" s="25">
        <v>1500</v>
      </c>
    </row>
    <row r="13" spans="2:19" ht="18.75" x14ac:dyDescent="0.3">
      <c r="B13" s="13" t="s">
        <v>68</v>
      </c>
      <c r="C13" s="24">
        <v>1138.2</v>
      </c>
      <c r="D13" s="24">
        <v>706.43</v>
      </c>
      <c r="E13" s="12">
        <f t="shared" si="6"/>
        <v>431.7700000000001</v>
      </c>
      <c r="F13" s="24">
        <v>1138</v>
      </c>
      <c r="G13" s="12">
        <v>906</v>
      </c>
      <c r="H13" s="31">
        <f t="shared" si="7"/>
        <v>232</v>
      </c>
      <c r="I13" s="24">
        <v>1781</v>
      </c>
      <c r="J13" s="12">
        <v>1040</v>
      </c>
      <c r="K13" s="4">
        <f t="shared" si="8"/>
        <v>741</v>
      </c>
      <c r="L13" s="24">
        <v>1138</v>
      </c>
      <c r="M13" s="12">
        <v>106</v>
      </c>
      <c r="N13" s="25">
        <f t="shared" si="2"/>
        <v>1032</v>
      </c>
      <c r="O13" s="38" t="s">
        <v>60</v>
      </c>
      <c r="P13" s="41">
        <f>SUM(P7:P12)</f>
        <v>27270.28</v>
      </c>
      <c r="Q13" s="41">
        <f>SUM(Q7:Q12)</f>
        <v>21077</v>
      </c>
      <c r="R13" s="41">
        <f>SUM(R7:R12)</f>
        <v>28320</v>
      </c>
      <c r="S13" s="25"/>
    </row>
    <row r="14" spans="2:19" ht="18.75" x14ac:dyDescent="0.3">
      <c r="B14" s="38" t="s">
        <v>69</v>
      </c>
      <c r="C14" s="39">
        <f t="shared" ref="C14:E14" si="9">SUM(C11:C13)</f>
        <v>8740.91</v>
      </c>
      <c r="D14" s="39">
        <f t="shared" si="9"/>
        <v>4125.59</v>
      </c>
      <c r="E14" s="36">
        <f t="shared" si="9"/>
        <v>4615.3200000000006</v>
      </c>
      <c r="F14" s="39">
        <f t="shared" ref="F14:H14" si="10">SUM(F11:F13)</f>
        <v>8741</v>
      </c>
      <c r="G14" s="39">
        <f t="shared" si="10"/>
        <v>5242</v>
      </c>
      <c r="H14" s="39">
        <f t="shared" si="10"/>
        <v>3499</v>
      </c>
      <c r="I14" s="39">
        <f>SUM(I11:I13)</f>
        <v>14626</v>
      </c>
      <c r="J14" s="39">
        <f t="shared" ref="J14:N14" si="11">SUM(J11:J13)</f>
        <v>6595</v>
      </c>
      <c r="K14" s="39">
        <f t="shared" si="11"/>
        <v>8031</v>
      </c>
      <c r="L14" s="39">
        <f t="shared" si="11"/>
        <v>6331</v>
      </c>
      <c r="M14" s="39">
        <f t="shared" si="11"/>
        <v>832</v>
      </c>
      <c r="N14" s="39">
        <f t="shared" si="11"/>
        <v>5499</v>
      </c>
      <c r="O14" s="13" t="s">
        <v>59</v>
      </c>
      <c r="P14" s="12">
        <v>1500</v>
      </c>
      <c r="Q14" s="30">
        <v>5405</v>
      </c>
      <c r="R14" s="30">
        <v>3076</v>
      </c>
      <c r="S14" s="25">
        <v>633</v>
      </c>
    </row>
    <row r="15" spans="2:19" ht="18.75" x14ac:dyDescent="0.3">
      <c r="B15" s="13"/>
      <c r="C15" s="24"/>
      <c r="D15" s="24"/>
      <c r="E15" s="12"/>
      <c r="F15" s="24"/>
      <c r="G15" s="12"/>
      <c r="H15" s="31"/>
      <c r="I15" s="24"/>
      <c r="J15" s="12"/>
      <c r="K15" s="4"/>
      <c r="L15" s="24"/>
      <c r="M15" s="12"/>
      <c r="N15" s="10"/>
      <c r="O15" s="13"/>
      <c r="P15" s="12"/>
      <c r="Q15" s="30"/>
      <c r="R15" s="30"/>
      <c r="S15" s="42">
        <f>SUM(S7:S14)</f>
        <v>24643</v>
      </c>
    </row>
    <row r="16" spans="2:19" ht="18.75" x14ac:dyDescent="0.3">
      <c r="B16" s="13" t="s">
        <v>46</v>
      </c>
      <c r="C16" s="24"/>
      <c r="D16" s="24"/>
      <c r="E16" s="12">
        <v>200</v>
      </c>
      <c r="F16" s="2"/>
      <c r="G16" s="13"/>
      <c r="H16" s="31">
        <v>200</v>
      </c>
      <c r="I16" s="2"/>
      <c r="J16" s="12"/>
      <c r="K16" s="4">
        <v>200</v>
      </c>
      <c r="L16" s="2"/>
      <c r="M16" s="12"/>
      <c r="N16" s="4">
        <v>200</v>
      </c>
      <c r="O16" s="38" t="s">
        <v>91</v>
      </c>
      <c r="P16" s="41">
        <f>P14+P15</f>
        <v>1500</v>
      </c>
      <c r="Q16" s="41">
        <f t="shared" ref="Q16:R16" si="12">Q14+Q15</f>
        <v>5405</v>
      </c>
      <c r="R16" s="41">
        <f t="shared" si="12"/>
        <v>3076</v>
      </c>
      <c r="S16" s="25"/>
    </row>
    <row r="17" spans="2:21" ht="18.75" x14ac:dyDescent="0.3">
      <c r="B17" s="38" t="s">
        <v>80</v>
      </c>
      <c r="C17" s="60"/>
      <c r="D17" s="49"/>
      <c r="E17" s="37">
        <f t="shared" ref="E17" si="13">E16</f>
        <v>200</v>
      </c>
      <c r="F17" s="37"/>
      <c r="G17" s="37"/>
      <c r="H17" s="37">
        <f t="shared" ref="H17" si="14">H16</f>
        <v>200</v>
      </c>
      <c r="I17" s="37"/>
      <c r="J17" s="37"/>
      <c r="K17" s="37">
        <f>K16</f>
        <v>200</v>
      </c>
      <c r="L17" s="37"/>
      <c r="M17" s="37"/>
      <c r="N17" s="37">
        <f>N16</f>
        <v>200</v>
      </c>
      <c r="O17" s="13" t="s">
        <v>54</v>
      </c>
      <c r="P17" s="12">
        <v>1944</v>
      </c>
      <c r="Q17" s="30">
        <v>3840</v>
      </c>
      <c r="R17" s="30">
        <v>2802</v>
      </c>
      <c r="S17" s="25">
        <v>3640</v>
      </c>
    </row>
    <row r="18" spans="2:21" x14ac:dyDescent="0.25">
      <c r="B18" s="13" t="s">
        <v>70</v>
      </c>
      <c r="C18" s="24"/>
      <c r="D18" s="24"/>
      <c r="E18" s="12">
        <v>1800</v>
      </c>
      <c r="F18" s="2"/>
      <c r="G18" s="13"/>
      <c r="H18" s="4">
        <v>1800</v>
      </c>
      <c r="I18" s="2"/>
      <c r="J18" s="12"/>
      <c r="K18" s="4">
        <v>1800</v>
      </c>
      <c r="L18" s="2"/>
      <c r="M18" s="12"/>
      <c r="N18" s="4">
        <v>1800</v>
      </c>
      <c r="O18" s="13"/>
      <c r="P18" s="12"/>
      <c r="Q18" s="30"/>
      <c r="R18" s="30"/>
      <c r="S18" s="25"/>
    </row>
    <row r="19" spans="2:21" x14ac:dyDescent="0.25">
      <c r="B19" s="13" t="s">
        <v>71</v>
      </c>
      <c r="C19" s="24"/>
      <c r="D19" s="24"/>
      <c r="E19" s="12"/>
      <c r="F19" s="2"/>
      <c r="G19" s="13"/>
      <c r="H19" s="4"/>
      <c r="I19" s="2"/>
      <c r="J19" s="12"/>
      <c r="K19" s="4">
        <v>4320</v>
      </c>
      <c r="L19" s="2"/>
      <c r="M19" s="12"/>
      <c r="N19" s="4">
        <v>6000</v>
      </c>
      <c r="O19" s="13" t="s">
        <v>55</v>
      </c>
      <c r="P19" s="12">
        <v>6448</v>
      </c>
      <c r="Q19" s="30">
        <v>6436</v>
      </c>
      <c r="R19" s="30">
        <v>4795</v>
      </c>
      <c r="S19" s="25">
        <v>5797</v>
      </c>
    </row>
    <row r="20" spans="2:21" x14ac:dyDescent="0.25">
      <c r="B20" s="13" t="s">
        <v>82</v>
      </c>
      <c r="C20" s="24"/>
      <c r="D20" s="24"/>
      <c r="E20" s="12">
        <v>1600</v>
      </c>
      <c r="F20" s="2"/>
      <c r="G20" s="13"/>
      <c r="H20" s="4">
        <v>1600</v>
      </c>
      <c r="I20" s="2"/>
      <c r="J20" s="12"/>
      <c r="K20" s="4">
        <v>2000</v>
      </c>
      <c r="L20" s="2"/>
      <c r="M20" s="12"/>
      <c r="N20" s="4"/>
      <c r="O20" s="13"/>
      <c r="P20" s="12"/>
      <c r="Q20" s="30"/>
      <c r="R20" s="30"/>
      <c r="S20" s="25"/>
    </row>
    <row r="21" spans="2:21" x14ac:dyDescent="0.25">
      <c r="B21" s="13" t="s">
        <v>92</v>
      </c>
      <c r="C21" s="24"/>
      <c r="D21" s="24"/>
      <c r="E21" s="12">
        <v>4990.2</v>
      </c>
      <c r="F21" s="2"/>
      <c r="G21" s="13"/>
      <c r="H21" s="4">
        <f>2605+79</f>
        <v>2684</v>
      </c>
      <c r="I21" s="2"/>
      <c r="J21" s="12"/>
      <c r="K21" s="4">
        <v>2780</v>
      </c>
      <c r="L21" s="2"/>
      <c r="M21" s="12"/>
      <c r="N21" s="4">
        <v>2628</v>
      </c>
      <c r="O21" s="13"/>
      <c r="P21" s="12"/>
      <c r="Q21" s="30"/>
      <c r="R21" s="30"/>
      <c r="S21" s="25"/>
    </row>
    <row r="22" spans="2:21" ht="18.75" x14ac:dyDescent="0.3">
      <c r="B22" s="38" t="s">
        <v>72</v>
      </c>
      <c r="C22" s="36"/>
      <c r="D22" s="37"/>
      <c r="E22" s="37">
        <f t="shared" ref="E22" si="15">SUM(E18:E21)</f>
        <v>8390.2000000000007</v>
      </c>
      <c r="F22" s="37"/>
      <c r="G22" s="37"/>
      <c r="H22" s="37">
        <f t="shared" ref="H22" si="16">SUM(H18:H21)</f>
        <v>6084</v>
      </c>
      <c r="I22" s="37"/>
      <c r="J22" s="37"/>
      <c r="K22" s="37">
        <f>SUM(K18:K21)</f>
        <v>10900</v>
      </c>
      <c r="L22" s="37"/>
      <c r="M22" s="37"/>
      <c r="N22" s="37">
        <f>SUM(N18:N21)</f>
        <v>10428</v>
      </c>
      <c r="O22" s="13" t="s">
        <v>56</v>
      </c>
      <c r="P22" s="12">
        <v>1622</v>
      </c>
      <c r="Q22" s="30">
        <v>1960</v>
      </c>
      <c r="R22" s="30">
        <v>428</v>
      </c>
      <c r="S22" s="25">
        <v>346</v>
      </c>
    </row>
    <row r="23" spans="2:21" x14ac:dyDescent="0.25">
      <c r="B23" s="13"/>
      <c r="C23" s="24"/>
      <c r="D23" s="24"/>
      <c r="E23" s="12"/>
      <c r="F23" s="2"/>
      <c r="G23" s="13"/>
      <c r="H23" s="4"/>
      <c r="I23" s="2"/>
      <c r="J23" s="12"/>
      <c r="K23" s="4"/>
      <c r="L23" s="2"/>
      <c r="M23" s="12"/>
      <c r="N23" s="4"/>
      <c r="O23" s="13"/>
      <c r="P23" s="12"/>
      <c r="Q23" s="30"/>
      <c r="R23" s="30"/>
      <c r="S23" s="25"/>
    </row>
    <row r="24" spans="2:21" x14ac:dyDescent="0.25">
      <c r="B24" s="13" t="s">
        <v>48</v>
      </c>
      <c r="C24" s="24"/>
      <c r="D24" s="24"/>
      <c r="E24" s="12">
        <v>9031.33</v>
      </c>
      <c r="F24" s="2"/>
      <c r="G24" s="13"/>
      <c r="H24" s="4">
        <v>9742</v>
      </c>
      <c r="I24" s="2"/>
      <c r="J24" s="12"/>
      <c r="K24" s="4">
        <v>10316</v>
      </c>
      <c r="L24" s="2"/>
      <c r="M24" s="12"/>
      <c r="N24" s="4">
        <v>3861</v>
      </c>
      <c r="O24" s="13" t="s">
        <v>57</v>
      </c>
      <c r="P24" s="12">
        <v>680</v>
      </c>
      <c r="Q24" s="30">
        <v>372</v>
      </c>
      <c r="R24" s="30">
        <v>2264</v>
      </c>
      <c r="S24" s="25">
        <v>420</v>
      </c>
    </row>
    <row r="25" spans="2:21" x14ac:dyDescent="0.25">
      <c r="B25" s="13" t="s">
        <v>49</v>
      </c>
      <c r="C25" s="24"/>
      <c r="D25" s="24"/>
      <c r="E25" s="12">
        <v>10576.54</v>
      </c>
      <c r="F25" s="2"/>
      <c r="G25" s="13"/>
      <c r="H25" s="4">
        <v>10577</v>
      </c>
      <c r="I25" s="2"/>
      <c r="J25" s="12"/>
      <c r="K25" s="4">
        <v>4201</v>
      </c>
      <c r="L25" s="2"/>
      <c r="M25" s="12"/>
      <c r="N25" s="4">
        <v>8588</v>
      </c>
      <c r="O25" s="13" t="s">
        <v>61</v>
      </c>
      <c r="P25" s="12">
        <v>380</v>
      </c>
      <c r="Q25" s="30">
        <v>114</v>
      </c>
      <c r="R25" s="30">
        <v>489</v>
      </c>
      <c r="S25" s="25">
        <v>324</v>
      </c>
    </row>
    <row r="26" spans="2:21" x14ac:dyDescent="0.25">
      <c r="B26" s="13" t="s">
        <v>50</v>
      </c>
      <c r="C26" s="24"/>
      <c r="D26" s="24"/>
      <c r="E26" s="12">
        <v>465.23</v>
      </c>
      <c r="F26" s="2"/>
      <c r="G26" s="13"/>
      <c r="H26" s="4">
        <v>716</v>
      </c>
      <c r="I26" s="2"/>
      <c r="J26" s="12"/>
      <c r="K26" s="4">
        <v>736</v>
      </c>
      <c r="L26" s="2"/>
      <c r="M26" s="12"/>
      <c r="N26" s="4">
        <v>26</v>
      </c>
      <c r="O26" s="13"/>
      <c r="P26" s="12"/>
      <c r="Q26" s="30"/>
      <c r="R26" s="30"/>
      <c r="S26" s="25"/>
    </row>
    <row r="27" spans="2:21" ht="18.75" x14ac:dyDescent="0.3">
      <c r="B27" s="38" t="s">
        <v>73</v>
      </c>
      <c r="C27" s="36"/>
      <c r="D27" s="37"/>
      <c r="E27" s="37">
        <f t="shared" ref="E27" si="17">SUM(E24:E26)</f>
        <v>20073.100000000002</v>
      </c>
      <c r="F27" s="37"/>
      <c r="G27" s="37"/>
      <c r="H27" s="37">
        <f t="shared" ref="H27:K27" si="18">SUM(H24:H26)</f>
        <v>21035</v>
      </c>
      <c r="I27" s="37"/>
      <c r="J27" s="37"/>
      <c r="K27" s="37">
        <f t="shared" si="18"/>
        <v>15253</v>
      </c>
      <c r="L27" s="37"/>
      <c r="M27" s="37"/>
      <c r="N27" s="37">
        <f>SUM(N24:N26)</f>
        <v>12475</v>
      </c>
      <c r="O27" s="38" t="s">
        <v>62</v>
      </c>
      <c r="P27" s="41">
        <f>SUM(P17:P26)</f>
        <v>11074</v>
      </c>
      <c r="Q27" s="41">
        <f>SUM(Q17:Q26)</f>
        <v>12722</v>
      </c>
      <c r="R27" s="41">
        <f>SUM(R17:R26)</f>
        <v>10778</v>
      </c>
      <c r="S27" s="42">
        <f>SUM(S17:S26)</f>
        <v>10527</v>
      </c>
    </row>
    <row r="28" spans="2:21" x14ac:dyDescent="0.25">
      <c r="B28" s="13" t="s">
        <v>47</v>
      </c>
      <c r="C28" s="24"/>
      <c r="D28" s="24"/>
      <c r="E28" s="12">
        <v>685</v>
      </c>
      <c r="F28" s="2"/>
      <c r="G28" s="13"/>
      <c r="H28" s="4">
        <v>686</v>
      </c>
      <c r="I28" s="2"/>
      <c r="J28" s="13"/>
      <c r="K28" s="4">
        <v>693</v>
      </c>
      <c r="L28" s="2"/>
      <c r="M28" s="13"/>
      <c r="N28" s="4">
        <v>1910</v>
      </c>
      <c r="O28" s="13"/>
      <c r="P28" s="12"/>
      <c r="Q28" s="30"/>
      <c r="R28" s="30"/>
      <c r="S28" s="25"/>
    </row>
    <row r="29" spans="2:21" ht="18.75" x14ac:dyDescent="0.3">
      <c r="B29" s="38" t="s">
        <v>81</v>
      </c>
      <c r="C29" s="60"/>
      <c r="D29" s="49"/>
      <c r="E29" s="37">
        <f t="shared" ref="E29" si="19">E28</f>
        <v>685</v>
      </c>
      <c r="F29" s="37"/>
      <c r="G29" s="37"/>
      <c r="H29" s="37">
        <f>H28</f>
        <v>686</v>
      </c>
      <c r="I29" s="37"/>
      <c r="J29" s="37"/>
      <c r="K29" s="37">
        <f>K28</f>
        <v>693</v>
      </c>
      <c r="L29" s="37"/>
      <c r="M29" s="37"/>
      <c r="N29" s="37">
        <f>N28</f>
        <v>1910</v>
      </c>
      <c r="O29" s="13"/>
      <c r="P29" s="12"/>
      <c r="Q29" s="30"/>
      <c r="R29" s="30"/>
      <c r="S29" s="25"/>
    </row>
    <row r="30" spans="2:21" x14ac:dyDescent="0.25">
      <c r="B30" s="13"/>
      <c r="C30" s="24"/>
      <c r="D30" s="24"/>
      <c r="E30" s="12"/>
      <c r="F30" s="2"/>
      <c r="G30" s="13"/>
      <c r="H30" s="10"/>
      <c r="I30" s="2"/>
      <c r="J30" s="13"/>
      <c r="K30" s="10"/>
      <c r="L30" s="2"/>
      <c r="M30" s="13"/>
      <c r="N30" s="10"/>
      <c r="O30" s="13"/>
      <c r="P30" s="12"/>
      <c r="Q30" s="30"/>
      <c r="R30" s="30"/>
      <c r="S30" s="25"/>
    </row>
    <row r="31" spans="2:21" ht="18.75" x14ac:dyDescent="0.3">
      <c r="B31" s="38" t="s">
        <v>74</v>
      </c>
      <c r="C31" s="36">
        <f t="shared" ref="C31:E31" si="20">C10+C14+C17+C22+C27+C29</f>
        <v>14730.21</v>
      </c>
      <c r="D31" s="37">
        <f t="shared" si="20"/>
        <v>4234.59</v>
      </c>
      <c r="E31" s="37">
        <f t="shared" si="20"/>
        <v>39843.919999999998</v>
      </c>
      <c r="F31" s="37">
        <f t="shared" ref="F31:H31" si="21">F10+F14+F17+F22+F27+F29</f>
        <v>16550</v>
      </c>
      <c r="G31" s="37">
        <f t="shared" si="21"/>
        <v>5351</v>
      </c>
      <c r="H31" s="37">
        <f t="shared" si="21"/>
        <v>39204</v>
      </c>
      <c r="I31" s="37">
        <f t="shared" ref="I31:N31" si="22">I10+I14+I17+I22+I27+I29</f>
        <v>22435</v>
      </c>
      <c r="J31" s="37">
        <f t="shared" si="22"/>
        <v>7307</v>
      </c>
      <c r="K31" s="37">
        <f t="shared" si="22"/>
        <v>42174</v>
      </c>
      <c r="L31" s="37">
        <f t="shared" si="22"/>
        <v>11098</v>
      </c>
      <c r="M31" s="37">
        <f t="shared" si="22"/>
        <v>941</v>
      </c>
      <c r="N31" s="37">
        <f t="shared" si="22"/>
        <v>35170</v>
      </c>
      <c r="O31" s="38" t="s">
        <v>63</v>
      </c>
      <c r="P31" s="41">
        <f>P13+P16+P27</f>
        <v>39844.28</v>
      </c>
      <c r="Q31" s="41">
        <f>Q13+Q16+Q27</f>
        <v>39204</v>
      </c>
      <c r="R31" s="41">
        <f>R13+R16+R27</f>
        <v>42174</v>
      </c>
      <c r="S31" s="42">
        <f>S27+S15</f>
        <v>35170</v>
      </c>
      <c r="T31" s="47"/>
      <c r="U31" s="47">
        <f>H31-Q31</f>
        <v>0</v>
      </c>
    </row>
    <row r="32" spans="2:21" ht="15.75" thickBot="1" x14ac:dyDescent="0.3">
      <c r="B32" s="23"/>
      <c r="C32" s="50"/>
      <c r="D32" s="50"/>
      <c r="E32" s="48"/>
      <c r="F32" s="21"/>
      <c r="G32" s="23"/>
      <c r="H32" s="22"/>
      <c r="I32" s="21"/>
      <c r="J32" s="23"/>
      <c r="K32" s="22"/>
      <c r="L32" s="21"/>
      <c r="M32" s="23"/>
      <c r="N32" s="22"/>
      <c r="O32" s="23"/>
      <c r="P32" s="48"/>
      <c r="Q32" s="23"/>
      <c r="R32" s="23"/>
      <c r="S32" s="22"/>
    </row>
    <row r="34" spans="16:16" x14ac:dyDescent="0.25">
      <c r="P34" s="51"/>
    </row>
  </sheetData>
  <mergeCells count="5">
    <mergeCell ref="F5:H5"/>
    <mergeCell ref="I5:K5"/>
    <mergeCell ref="L5:N5"/>
    <mergeCell ref="C5:E5"/>
    <mergeCell ref="B4:R4"/>
  </mergeCells>
  <pageMargins left="0.7" right="0.7" top="0.75" bottom="0.75" header="0.3" footer="0.3"/>
  <pageSetup paperSize="9" scale="5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Compte de résultat</vt:lpstr>
      <vt:lpstr>Bilan</vt:lpstr>
      <vt:lpstr>'Compte de résultat'!Zone_d_impression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François</cp:lastModifiedBy>
  <cp:lastPrinted>2019-06-09T17:18:01Z</cp:lastPrinted>
  <dcterms:created xsi:type="dcterms:W3CDTF">2015-05-10T09:37:44Z</dcterms:created>
  <dcterms:modified xsi:type="dcterms:W3CDTF">2019-06-10T15:30:25Z</dcterms:modified>
</cp:coreProperties>
</file>